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660" windowHeight="13485" firstSheet="1" activeTab="1"/>
  </bookViews>
  <sheets>
    <sheet name="19742 Математика 4 класс" sheetId="1" r:id="rId1"/>
    <sheet name="19743 Математика 5 класс" sheetId="2" r:id="rId2"/>
    <sheet name="19744 Математика 6 класс" sheetId="3" r:id="rId3"/>
    <sheet name="19745 Математика 7 класс" sheetId="4" r:id="rId4"/>
    <sheet name="19746 Математика 8 класс" sheetId="5" r:id="rId5"/>
    <sheet name="19747 Математика 9 класс" sheetId="6" r:id="rId6"/>
    <sheet name="19748 Математика 10 класс" sheetId="7" r:id="rId7"/>
    <sheet name="19749 Математика 11 класс" sheetId="8" r:id="rId8"/>
    <sheet name="TimeZones" sheetId="9" state="veryHidden" r:id="rId9"/>
  </sheets>
  <calcPr calcId="145621"/>
</workbook>
</file>

<file path=xl/calcChain.xml><?xml version="1.0" encoding="utf-8"?>
<calcChain xmlns="http://schemas.openxmlformats.org/spreadsheetml/2006/main">
  <c r="F7" i="6" l="1"/>
  <c r="E7" i="6"/>
  <c r="F6" i="6"/>
  <c r="E6" i="6"/>
  <c r="F5" i="6"/>
  <c r="E5" i="6"/>
  <c r="F4" i="6"/>
  <c r="E4" i="6"/>
  <c r="F3" i="6"/>
  <c r="E3" i="6"/>
  <c r="F12" i="5"/>
  <c r="E12" i="5"/>
  <c r="F11" i="5"/>
  <c r="E11" i="5"/>
  <c r="F10" i="5"/>
  <c r="E10" i="5"/>
  <c r="F9" i="5"/>
  <c r="E9" i="5"/>
  <c r="F8" i="5"/>
  <c r="E8" i="5"/>
  <c r="F7" i="5"/>
  <c r="E7" i="5"/>
  <c r="F6" i="5"/>
  <c r="E6" i="5"/>
  <c r="F5" i="5"/>
  <c r="E5" i="5"/>
  <c r="F4" i="5"/>
  <c r="E4" i="5"/>
  <c r="F3" i="5"/>
  <c r="E3" i="5"/>
  <c r="F9" i="4"/>
  <c r="E9" i="4"/>
  <c r="F8" i="4"/>
  <c r="E8" i="4"/>
  <c r="F7" i="4"/>
  <c r="E7" i="4"/>
  <c r="F6" i="4"/>
  <c r="E6" i="4"/>
  <c r="F5" i="4"/>
  <c r="E5" i="4"/>
  <c r="F4" i="4"/>
  <c r="E4" i="4"/>
  <c r="F3" i="4"/>
  <c r="E3" i="4"/>
  <c r="F11" i="3"/>
  <c r="E11" i="3"/>
  <c r="F10" i="3"/>
  <c r="E10" i="3"/>
  <c r="F9" i="3"/>
  <c r="E9" i="3"/>
  <c r="F8" i="3"/>
  <c r="E8" i="3"/>
  <c r="F7" i="3"/>
  <c r="E7" i="3"/>
  <c r="F6" i="3"/>
  <c r="E6" i="3"/>
  <c r="F5" i="3"/>
  <c r="E5" i="3"/>
  <c r="F4" i="3"/>
  <c r="E4" i="3"/>
  <c r="F3" i="3"/>
  <c r="E3" i="3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  <c r="F8" i="1"/>
  <c r="E8" i="1"/>
  <c r="F7" i="1"/>
  <c r="E7" i="1"/>
  <c r="F6" i="1"/>
  <c r="E6" i="1"/>
  <c r="F5" i="1"/>
  <c r="E5" i="1"/>
  <c r="F4" i="1"/>
  <c r="E4" i="1"/>
  <c r="F3" i="1"/>
  <c r="E3" i="1"/>
</calcChain>
</file>

<file path=xl/sharedStrings.xml><?xml version="1.0" encoding="utf-8"?>
<sst xmlns="http://schemas.openxmlformats.org/spreadsheetml/2006/main" count="223" uniqueCount="144">
  <si>
    <t>19742/edu660452/4/4968323g</t>
  </si>
  <si>
    <t>19742/edu660452/4/982g72gv</t>
  </si>
  <si>
    <t>19742/edu660452/4/g32r56v5</t>
  </si>
  <si>
    <t>19742/edu660452/4/qv635685</t>
  </si>
  <si>
    <t>19742/edu660452/4/r724563g</t>
  </si>
  <si>
    <t>19743/edu660452/5/3769v2qr</t>
  </si>
  <si>
    <t>19743/edu660452/5/4w2z3675</t>
  </si>
  <si>
    <t>19743/edu660452/5/5q2792rz</t>
  </si>
  <si>
    <t>19743/edu660452/5/842g72qg</t>
  </si>
  <si>
    <t>19743/edu660452/5/896v32g4</t>
  </si>
  <si>
    <t>19743/edu660452/5/g32r5698</t>
  </si>
  <si>
    <t>19743/edu660452/5/r72q463g</t>
  </si>
  <si>
    <t>19744/edu660452/6/246v38gw</t>
  </si>
  <si>
    <t>19744/edu660452/6/298g78vg</t>
  </si>
  <si>
    <t>19744/edu660452/6/3789465q</t>
  </si>
  <si>
    <t>19744/edu660452/6/5q8746z2</t>
  </si>
  <si>
    <t>19744/edu660452/6/g38r56w2</t>
  </si>
  <si>
    <t>19744/edu660452/6/qv6356g9</t>
  </si>
  <si>
    <t>19744/edu660452/6/r7845634</t>
  </si>
  <si>
    <t>19744/edu660452/6/r78q983w</t>
  </si>
  <si>
    <t>19745/edu660452/7/284g74qz</t>
  </si>
  <si>
    <t>19745/edu660452/7/296v347w</t>
  </si>
  <si>
    <t>19745/edu660452/7/5q4794r2</t>
  </si>
  <si>
    <t>19745/edu660452/7/92683487</t>
  </si>
  <si>
    <t>19745/edu660452/7/g34r5695</t>
  </si>
  <si>
    <t>19745/edu660452/7/qv635689</t>
  </si>
  <si>
    <t>19746/edu660452/8/37294784</t>
  </si>
  <si>
    <t>19746/edu660452/8/5q87427z</t>
  </si>
  <si>
    <t>19746/edu660452/8/6w8z329z</t>
  </si>
  <si>
    <t>19746/edu660452/8/968g784v</t>
  </si>
  <si>
    <t>19746/edu660452/8/9q8578z5</t>
  </si>
  <si>
    <t>19746/edu660452/8/g38r529q</t>
  </si>
  <si>
    <t>19746/edu660452/8/qv2352g6</t>
  </si>
  <si>
    <t>19746/edu660452/8/r78452q9</t>
  </si>
  <si>
    <t>19746/edu660452/8/wv2w929z</t>
  </si>
  <si>
    <t>19747/edu660452/9/3729v46q</t>
  </si>
  <si>
    <t>19747/edu660452/9/864g74zg</t>
  </si>
  <si>
    <t>19747/edu660452/9/g826g439</t>
  </si>
  <si>
    <t>19747/edu660452/9/qv23526r</t>
  </si>
  <si>
    <t>UTC</t>
  </si>
  <si>
    <t>UTC (МСК-3, UTC)</t>
  </si>
  <si>
    <t>Акулин Денис Васильевич</t>
  </si>
  <si>
    <t>Анадырь</t>
  </si>
  <si>
    <t>Анадырь (МСК+9, UTC+12)</t>
  </si>
  <si>
    <t>Астрахань</t>
  </si>
  <si>
    <t>Астрахань (МСК+1, UTC+4)</t>
  </si>
  <si>
    <t>БУЕНОК АНДРЕЙ СЕРГЕЕВИЧ</t>
  </si>
  <si>
    <t>Барнаул</t>
  </si>
  <si>
    <t>Барнаул (МСК+4, UTC+7)</t>
  </si>
  <si>
    <t>Барняков Богдан Михайлович</t>
  </si>
  <si>
    <t>Бахтеев Арсений Михайлович</t>
  </si>
  <si>
    <t>Бахтеева Наталья Михайловна</t>
  </si>
  <si>
    <t>Ботанин Дмитрий Алексеевич</t>
  </si>
  <si>
    <t>Владивосток</t>
  </si>
  <si>
    <t>Владивосток (МСК+7, UTC+10)</t>
  </si>
  <si>
    <t>Волгоград</t>
  </si>
  <si>
    <t>Волгоград (МСК, UTC+3)</t>
  </si>
  <si>
    <t>Глебов Егор Сергеевич</t>
  </si>
  <si>
    <t>Глебова Варвара Александровна</t>
  </si>
  <si>
    <t>Глебова Полина Николаевна</t>
  </si>
  <si>
    <t>Грамота</t>
  </si>
  <si>
    <t>Екатеринбург</t>
  </si>
  <si>
    <t>Екатеринбург (МСК+2, UTC+5)</t>
  </si>
  <si>
    <t>Земерова Александра Андреевна</t>
  </si>
  <si>
    <t>Земерова Маргарита Андреевна</t>
  </si>
  <si>
    <t>Зубарева Кристина Эдуардовна</t>
  </si>
  <si>
    <t>Зубов Матвей Романович</t>
  </si>
  <si>
    <t>Зубов Ярослав Романович</t>
  </si>
  <si>
    <t>Иркутск</t>
  </si>
  <si>
    <t>Иркутск (МСК+5, UTC+8)</t>
  </si>
  <si>
    <t>Калининград</t>
  </si>
  <si>
    <t>Калининград (МСК-1, UTC+2)</t>
  </si>
  <si>
    <t>Камчатка</t>
  </si>
  <si>
    <t>Камчатка (МСК+9, UTC+12)</t>
  </si>
  <si>
    <t>Киров</t>
  </si>
  <si>
    <t>Киров (МСК, UTC+3)</t>
  </si>
  <si>
    <t>Код</t>
  </si>
  <si>
    <t>Коптелов Кирилл Дмитриевич</t>
  </si>
  <si>
    <t>Красноярск</t>
  </si>
  <si>
    <t>Красноярск (МСК+4, UTC+7)</t>
  </si>
  <si>
    <t>Кудринских Александр Владимирович</t>
  </si>
  <si>
    <t>Кудринских Артем Романович</t>
  </si>
  <si>
    <t>Кудринских Даниил Романович</t>
  </si>
  <si>
    <t>Кудринских Марина Владимировна</t>
  </si>
  <si>
    <t>Кыштымова Маргарита Александровна</t>
  </si>
  <si>
    <t>Лапшин Иван Иванович</t>
  </si>
  <si>
    <t>Лешуков Алексей Александрович</t>
  </si>
  <si>
    <t>Магадан</t>
  </si>
  <si>
    <t>Магадан (МСК+8, UTC+11)</t>
  </si>
  <si>
    <t>Максимальный балл</t>
  </si>
  <si>
    <t>Михайлов Алексей Евгеньевич</t>
  </si>
  <si>
    <t>Москва</t>
  </si>
  <si>
    <t>Москва (МСК, UTC+3)</t>
  </si>
  <si>
    <t>Мосяев Александр Михаилович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</si>
  <si>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</si>
  <si>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</si>
  <si>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</si>
  <si>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</si>
  <si>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</si>
  <si>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</si>
  <si>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</si>
  <si>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Парфенова Софья Евгеньевна</t>
  </si>
  <si>
    <t>Перов Иван Александрович</t>
  </si>
  <si>
    <t>Перова Полина Александровна</t>
  </si>
  <si>
    <t>Рахматов Рамазан Джахангирович</t>
  </si>
  <si>
    <t>Рахматова Альбина Хуршедовна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</si>
  <si>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</si>
  <si>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</si>
  <si>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</si>
  <si>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</si>
  <si>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</si>
  <si>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</si>
  <si>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Симферополь</t>
  </si>
  <si>
    <t>Симферополь (МСК, UTC+3)</t>
  </si>
  <si>
    <t>Список участников появится после окончания олимпиады, если они будут</t>
  </si>
  <si>
    <t>Среднеколымск</t>
  </si>
  <si>
    <t>Среднеколымск (МСК+8, UTC+11)</t>
  </si>
  <si>
    <t>Статус</t>
  </si>
  <si>
    <t>Томск</t>
  </si>
  <si>
    <t>Томск (МСК+4, UTC+7)</t>
  </si>
  <si>
    <t>Тропин Сергей Андреевич</t>
  </si>
  <si>
    <t>Ульяновск</t>
  </si>
  <si>
    <t>Ульяновск (МСК+1, UTC+4)</t>
  </si>
  <si>
    <t>Усть-Нера</t>
  </si>
  <si>
    <t>Усть-Нера (МСК+7, UTC+10)</t>
  </si>
  <si>
    <t>ФИО</t>
  </si>
  <si>
    <t>Хандыга</t>
  </si>
  <si>
    <t>Хандыга (МСК+6, UTC+9)</t>
  </si>
  <si>
    <t>Часовой пояс</t>
  </si>
  <si>
    <t>Чита</t>
  </si>
  <si>
    <t>Чита (МСК+6, UTC+9)</t>
  </si>
  <si>
    <t>Шабунина Полина Викторовна</t>
  </si>
  <si>
    <t>Яблонский Илья Алексеевич</t>
  </si>
  <si>
    <t>Якутск</t>
  </si>
  <si>
    <t>Якутск (МСК+6, UTC+9)</t>
  </si>
  <si>
    <t>участник</t>
  </si>
  <si>
    <t>победитель</t>
  </si>
  <si>
    <t>Сенцов Владимир Олегович</t>
  </si>
  <si>
    <t>Пономарева Дарья Анатольевна</t>
  </si>
  <si>
    <t>Крестьянинов Илья Сергеевич</t>
  </si>
  <si>
    <t>Рахматов Тимур Хуршедович</t>
  </si>
  <si>
    <t>Коптелов Никита Дмитриевич</t>
  </si>
  <si>
    <t>Берсенев Артем Николаевич</t>
  </si>
  <si>
    <t>Ботанин Илья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</si>
</sst>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.0"/>
    <numFmt numFmtId="165" formatCode="dd\ mmmm\ yyyy\ &quot;в&quot;\ hh:mm"/>
  </numFmts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G8" sqref="G8"/>
    </sheetView>
  </sheetViews>
  <sheetFormatPr defaultRowHeight="15.7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ht="15" x14ac:dyDescent="0.25">
      <c r="A1" s="1" t="s">
        <v>128</v>
      </c>
      <c r="B1" s="2" t="s">
        <v>62</v>
      </c>
    </row>
    <row r="3" spans="1:8" ht="30" x14ac:dyDescent="0.25">
      <c r="A3" s="1" t="s">
        <v>76</v>
      </c>
      <c r="B3" s="1" t="s">
        <v>125</v>
      </c>
      <c r="C3" s="1" t="s">
        <v>94</v>
      </c>
      <c r="D3" s="1" t="s">
        <v>89</v>
      </c>
      <c r="E3" s="1" t="str">
        <f>"Время начала сессии (" &amp; VLOOKUP($B$1,TimeZones!$A$1:$C$28,3,FALSE) &amp; ")"</f>
        <v>Время начала сессии (Екатеринбург)</v>
      </c>
      <c r="F3" s="1" t="str">
        <f>"Время конца сессии (" &amp; VLOOKUP($B$1,TimeZones!$A$1:$C$28,3,FALSE) &amp; ")"</f>
        <v>Время конца сессии (Екатеринбург)</v>
      </c>
      <c r="G3" s="1" t="s">
        <v>117</v>
      </c>
      <c r="H3" s="1" t="s">
        <v>60</v>
      </c>
    </row>
    <row r="4" spans="1:8" ht="15" x14ac:dyDescent="0.25">
      <c r="A4" s="2" t="s">
        <v>4</v>
      </c>
      <c r="B4" s="2" t="s">
        <v>82</v>
      </c>
      <c r="C4" s="3">
        <v>3</v>
      </c>
      <c r="D4" s="3">
        <v>56</v>
      </c>
      <c r="E4" s="4">
        <f>46309.1470930823 + (VLOOKUP($B$1,TimeZones!$A$1:$C$28,2,FALSE))/24</f>
        <v>46309.355426415634</v>
      </c>
      <c r="F4" s="4">
        <f>46309.1791528881 + (VLOOKUP($B$1,TimeZones!$A$1:$C$28,2,FALSE))/24</f>
        <v>46309.387486221436</v>
      </c>
      <c r="G4" s="2" t="s">
        <v>135</v>
      </c>
    </row>
    <row r="5" spans="1:8" ht="15" x14ac:dyDescent="0.25">
      <c r="A5" s="2" t="s">
        <v>2</v>
      </c>
      <c r="B5" s="2" t="s">
        <v>104</v>
      </c>
      <c r="C5" s="3">
        <v>3</v>
      </c>
      <c r="D5" s="3">
        <v>56</v>
      </c>
      <c r="E5" s="4">
        <f>46309.1490230866 + (VLOOKUP($B$1,TimeZones!$A$1:$C$28,2,FALSE))/24</f>
        <v>46309.357356419932</v>
      </c>
      <c r="F5" s="4">
        <f>46309.1801191663 + (VLOOKUP($B$1,TimeZones!$A$1:$C$28,2,FALSE))/24</f>
        <v>46309.388452499639</v>
      </c>
      <c r="G5" s="2" t="s">
        <v>135</v>
      </c>
    </row>
    <row r="6" spans="1:8" ht="15" x14ac:dyDescent="0.25">
      <c r="A6" s="2" t="s">
        <v>3</v>
      </c>
      <c r="B6" s="2" t="s">
        <v>66</v>
      </c>
      <c r="C6" s="3">
        <v>0</v>
      </c>
      <c r="D6" s="3">
        <v>56</v>
      </c>
      <c r="E6" s="4">
        <f>46309.146828818 + (VLOOKUP($B$1,TimeZones!$A$1:$C$28,2,FALSE))/24</f>
        <v>46309.355162151332</v>
      </c>
      <c r="F6" s="4">
        <f>46309.1783414098 + (VLOOKUP($B$1,TimeZones!$A$1:$C$28,2,FALSE))/24</f>
        <v>46309.386674743138</v>
      </c>
      <c r="G6" s="2" t="s">
        <v>135</v>
      </c>
    </row>
    <row r="7" spans="1:8" ht="15" x14ac:dyDescent="0.25">
      <c r="A7" s="2" t="s">
        <v>0</v>
      </c>
      <c r="B7" s="2" t="s">
        <v>77</v>
      </c>
      <c r="C7" s="3">
        <v>0</v>
      </c>
      <c r="D7" s="3">
        <v>56</v>
      </c>
      <c r="E7" s="4">
        <f>46309.1499015073 + (VLOOKUP($B$1,TimeZones!$A$1:$C$28,2,FALSE))/24</f>
        <v>46309.358234840634</v>
      </c>
      <c r="F7" s="4">
        <f>46309.1828733013 + (VLOOKUP($B$1,TimeZones!$A$1:$C$28,2,FALSE))/24</f>
        <v>46309.391206634638</v>
      </c>
      <c r="G7" s="2" t="s">
        <v>135</v>
      </c>
    </row>
    <row r="8" spans="1:8" ht="15" x14ac:dyDescent="0.25">
      <c r="A8" s="2" t="s">
        <v>1</v>
      </c>
      <c r="B8" s="2" t="s">
        <v>102</v>
      </c>
      <c r="C8" s="3">
        <v>0</v>
      </c>
      <c r="D8" s="3">
        <v>56</v>
      </c>
      <c r="E8" s="4">
        <f>46309.1494140313 + (VLOOKUP($B$1,TimeZones!$A$1:$C$28,2,FALSE))/24</f>
        <v>46309.357747364636</v>
      </c>
      <c r="F8" s="4">
        <f>46309.1808469851 + (VLOOKUP($B$1,TimeZones!$A$1:$C$28,2,FALSE))/24</f>
        <v>46309.389180318532</v>
      </c>
      <c r="G8" s="2" t="s">
        <v>135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B15" sqref="B15"/>
    </sheetView>
  </sheetViews>
  <sheetFormatPr defaultRowHeight="15.7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ht="15" x14ac:dyDescent="0.25">
      <c r="A1" s="1" t="s">
        <v>128</v>
      </c>
      <c r="B1" s="2" t="s">
        <v>62</v>
      </c>
    </row>
    <row r="3" spans="1:8" ht="30" x14ac:dyDescent="0.25">
      <c r="A3" s="1" t="s">
        <v>76</v>
      </c>
      <c r="B3" s="1" t="s">
        <v>125</v>
      </c>
      <c r="C3" s="1" t="s">
        <v>94</v>
      </c>
      <c r="D3" s="1" t="s">
        <v>89</v>
      </c>
      <c r="E3" s="1" t="str">
        <f>"Время начала сессии (" &amp; VLOOKUP($B$1,TimeZones!$A$1:$C$28,3,FALSE) &amp; ")"</f>
        <v>Время начала сессии (Екатеринбург)</v>
      </c>
      <c r="F3" s="1" t="str">
        <f>"Время конца сессии (" &amp; VLOOKUP($B$1,TimeZones!$A$1:$C$28,3,FALSE) &amp; ")"</f>
        <v>Время конца сессии (Екатеринбург)</v>
      </c>
      <c r="G3" s="1" t="s">
        <v>117</v>
      </c>
      <c r="H3" s="1" t="s">
        <v>60</v>
      </c>
    </row>
    <row r="4" spans="1:8" ht="15" x14ac:dyDescent="0.25">
      <c r="A4" s="2" t="s">
        <v>5</v>
      </c>
      <c r="B4" s="2" t="s">
        <v>142</v>
      </c>
      <c r="C4" s="3">
        <v>24</v>
      </c>
      <c r="D4" s="3">
        <v>56</v>
      </c>
      <c r="E4" s="4">
        <f>46309.2850800951 + (VLOOKUP($B$1,TimeZones!$A$1:$C$28,2,FALSE))/24</f>
        <v>46309.493413428434</v>
      </c>
      <c r="F4" s="4">
        <f>46309.3168505183 + (VLOOKUP($B$1,TimeZones!$A$1:$C$28,2,FALSE))/24</f>
        <v>46309.525183851634</v>
      </c>
      <c r="G4" s="2" t="s">
        <v>135</v>
      </c>
    </row>
    <row r="5" spans="1:8" ht="15" x14ac:dyDescent="0.25">
      <c r="A5" s="2" t="s">
        <v>9</v>
      </c>
      <c r="B5" s="2" t="s">
        <v>51</v>
      </c>
      <c r="C5" s="3">
        <v>14</v>
      </c>
      <c r="D5" s="3">
        <v>56</v>
      </c>
      <c r="E5" s="4">
        <f>46309.2885494736 + (VLOOKUP($B$1,TimeZones!$A$1:$C$28,2,FALSE))/24</f>
        <v>46309.496882806932</v>
      </c>
      <c r="F5" s="4">
        <f>46309.3140542701 + (VLOOKUP($B$1,TimeZones!$A$1:$C$28,2,FALSE))/24</f>
        <v>46309.522387603436</v>
      </c>
      <c r="G5" s="2" t="s">
        <v>135</v>
      </c>
    </row>
    <row r="6" spans="1:8" ht="15" x14ac:dyDescent="0.25">
      <c r="A6" s="2" t="s">
        <v>10</v>
      </c>
      <c r="B6" s="2" t="s">
        <v>67</v>
      </c>
      <c r="C6" s="3">
        <v>7</v>
      </c>
      <c r="D6" s="3">
        <v>56</v>
      </c>
      <c r="E6" s="4">
        <f>46309.2939779764 + (VLOOKUP($B$1,TimeZones!$A$1:$C$28,2,FALSE))/24</f>
        <v>46309.502311309734</v>
      </c>
      <c r="F6" s="4">
        <f>46309.3175287045 + (VLOOKUP($B$1,TimeZones!$A$1:$C$28,2,FALSE))/24</f>
        <v>46309.525862037837</v>
      </c>
      <c r="G6" s="2" t="s">
        <v>135</v>
      </c>
    </row>
    <row r="7" spans="1:8" ht="15" x14ac:dyDescent="0.25">
      <c r="A7" s="2" t="s">
        <v>7</v>
      </c>
      <c r="B7" s="2" t="s">
        <v>80</v>
      </c>
      <c r="C7" s="3">
        <v>7</v>
      </c>
      <c r="D7" s="3">
        <v>56</v>
      </c>
      <c r="E7" s="4">
        <f>46309.2901060563 + (VLOOKUP($B$1,TimeZones!$A$1:$C$28,2,FALSE))/24</f>
        <v>46309.498439389637</v>
      </c>
      <c r="F7" s="4">
        <f>46309.3132112434 + (VLOOKUP($B$1,TimeZones!$A$1:$C$28,2,FALSE))/24</f>
        <v>46309.521544576739</v>
      </c>
      <c r="G7" s="2" t="s">
        <v>135</v>
      </c>
    </row>
    <row r="8" spans="1:8" ht="15" x14ac:dyDescent="0.25">
      <c r="A8" s="2" t="s">
        <v>8</v>
      </c>
      <c r="B8" s="2" t="s">
        <v>143</v>
      </c>
      <c r="C8" s="3">
        <v>0</v>
      </c>
      <c r="D8" s="3">
        <v>56</v>
      </c>
      <c r="E8" s="4">
        <f>46309.2829242004 + (VLOOKUP($B$1,TimeZones!$A$1:$C$28,2,FALSE))/24</f>
        <v>46309.491257533737</v>
      </c>
      <c r="F8" s="4">
        <f>46309.3125502646 + (VLOOKUP($B$1,TimeZones!$A$1:$C$28,2,FALSE))/24</f>
        <v>46309.520883597936</v>
      </c>
      <c r="G8" s="2" t="s">
        <v>135</v>
      </c>
    </row>
    <row r="9" spans="1:8" ht="15" x14ac:dyDescent="0.25">
      <c r="A9" s="2" t="s">
        <v>11</v>
      </c>
      <c r="B9" s="2" t="s">
        <v>81</v>
      </c>
      <c r="C9" s="3">
        <v>0</v>
      </c>
      <c r="D9" s="3">
        <v>56</v>
      </c>
      <c r="E9" s="4">
        <f>46309.2882285044 + (VLOOKUP($B$1,TimeZones!$A$1:$C$28,2,FALSE))/24</f>
        <v>46309.496561837739</v>
      </c>
      <c r="F9" s="4">
        <f>46309.3148779842 + (VLOOKUP($B$1,TimeZones!$A$1:$C$28,2,FALSE))/24</f>
        <v>46309.523211317537</v>
      </c>
      <c r="G9" s="2" t="s">
        <v>135</v>
      </c>
    </row>
    <row r="10" spans="1:8" ht="15" x14ac:dyDescent="0.25">
      <c r="A10" s="2" t="s">
        <v>6</v>
      </c>
      <c r="B10" s="2" t="s">
        <v>85</v>
      </c>
      <c r="C10" s="3">
        <v>0</v>
      </c>
      <c r="D10" s="3">
        <v>56</v>
      </c>
      <c r="E10" s="4">
        <f>46309.2903892587 + (VLOOKUP($B$1,TimeZones!$A$1:$C$28,2,FALSE))/24</f>
        <v>46309.498722592034</v>
      </c>
      <c r="F10" s="4">
        <f>46309.299976567 + (VLOOKUP($B$1,TimeZones!$A$1:$C$28,2,FALSE))/24</f>
        <v>46309.508309900339</v>
      </c>
      <c r="G10" s="2" t="s">
        <v>135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8" sqref="B8"/>
    </sheetView>
  </sheetViews>
  <sheetFormatPr defaultRowHeight="15.7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ht="15" x14ac:dyDescent="0.25">
      <c r="A1" s="1" t="s">
        <v>128</v>
      </c>
      <c r="B1" s="2" t="s">
        <v>62</v>
      </c>
    </row>
    <row r="3" spans="1:8" ht="30" x14ac:dyDescent="0.25">
      <c r="A3" s="1" t="s">
        <v>76</v>
      </c>
      <c r="B3" s="1" t="s">
        <v>125</v>
      </c>
      <c r="C3" s="1" t="s">
        <v>94</v>
      </c>
      <c r="D3" s="1" t="s">
        <v>89</v>
      </c>
      <c r="E3" s="1" t="str">
        <f>"Время начала сессии (" &amp; VLOOKUP($B$1,TimeZones!$A$1:$C$28,3,FALSE) &amp; ")"</f>
        <v>Время начала сессии (Екатеринбург)</v>
      </c>
      <c r="F3" s="1" t="str">
        <f>"Время конца сессии (" &amp; VLOOKUP($B$1,TimeZones!$A$1:$C$28,3,FALSE) &amp; ")"</f>
        <v>Время конца сессии (Екатеринбург)</v>
      </c>
      <c r="G3" s="1" t="s">
        <v>117</v>
      </c>
      <c r="H3" s="1" t="s">
        <v>60</v>
      </c>
    </row>
    <row r="4" spans="1:8" ht="15" x14ac:dyDescent="0.25">
      <c r="A4" s="2" t="s">
        <v>13</v>
      </c>
      <c r="B4" s="2" t="s">
        <v>64</v>
      </c>
      <c r="C4" s="3">
        <v>42</v>
      </c>
      <c r="D4" s="3">
        <v>56</v>
      </c>
      <c r="E4" s="4">
        <f>46309.2069951099 + (VLOOKUP($B$1,TimeZones!$A$1:$C$28,2,FALSE))/24</f>
        <v>46309.415328443232</v>
      </c>
      <c r="F4" s="4">
        <f>46309.221102336 + (VLOOKUP($B$1,TimeZones!$A$1:$C$28,2,FALSE))/24</f>
        <v>46309.429435669335</v>
      </c>
      <c r="G4" s="2" t="s">
        <v>136</v>
      </c>
    </row>
    <row r="5" spans="1:8" ht="15" x14ac:dyDescent="0.25">
      <c r="A5" s="2" t="s">
        <v>18</v>
      </c>
      <c r="B5" s="2" t="s">
        <v>139</v>
      </c>
      <c r="C5" s="3">
        <v>6</v>
      </c>
      <c r="D5" s="3">
        <v>56</v>
      </c>
      <c r="E5" s="4">
        <f>46309.2111889028 + (VLOOKUP($B$1,TimeZones!$A$1:$C$28,2,FALSE))/24</f>
        <v>46309.419522236138</v>
      </c>
      <c r="F5" s="4">
        <f>46309.2314602741 + (VLOOKUP($B$1,TimeZones!$A$1:$C$28,2,FALSE))/24</f>
        <v>46309.439793607438</v>
      </c>
      <c r="G5" s="2" t="s">
        <v>135</v>
      </c>
    </row>
    <row r="6" spans="1:8" ht="15" x14ac:dyDescent="0.25">
      <c r="A6" s="2" t="s">
        <v>19</v>
      </c>
      <c r="B6" s="2" t="s">
        <v>105</v>
      </c>
      <c r="C6" s="3">
        <v>3</v>
      </c>
      <c r="D6" s="3">
        <v>56</v>
      </c>
      <c r="E6" s="4">
        <f>46309.2125282895 + (VLOOKUP($B$1,TimeZones!$A$1:$C$28,2,FALSE))/24</f>
        <v>46309.420861622835</v>
      </c>
      <c r="F6" s="4">
        <f>46309.2175164477 + (VLOOKUP($B$1,TimeZones!$A$1:$C$28,2,FALSE))/24</f>
        <v>46309.425849781037</v>
      </c>
      <c r="G6" s="2" t="s">
        <v>135</v>
      </c>
    </row>
    <row r="7" spans="1:8" ht="15" x14ac:dyDescent="0.25">
      <c r="A7" s="2" t="s">
        <v>15</v>
      </c>
      <c r="B7" s="2" t="s">
        <v>132</v>
      </c>
      <c r="C7" s="3">
        <v>3</v>
      </c>
      <c r="D7" s="3">
        <v>56</v>
      </c>
      <c r="E7" s="4">
        <f>46309.2068558524 + (VLOOKUP($B$1,TimeZones!$A$1:$C$28,2,FALSE))/24</f>
        <v>46309.415189185733</v>
      </c>
      <c r="F7" s="4">
        <f>46309.2154519275 + (VLOOKUP($B$1,TimeZones!$A$1:$C$28,2,FALSE))/24</f>
        <v>46309.423785260835</v>
      </c>
      <c r="G7" s="2" t="s">
        <v>135</v>
      </c>
    </row>
    <row r="8" spans="1:8" ht="15" x14ac:dyDescent="0.25">
      <c r="A8" s="2" t="s">
        <v>16</v>
      </c>
      <c r="B8" s="2" t="s">
        <v>141</v>
      </c>
      <c r="C8" s="3">
        <v>0</v>
      </c>
      <c r="D8" s="3">
        <v>56</v>
      </c>
      <c r="E8" s="4">
        <f>46309.2176925088 + (VLOOKUP($B$1,TimeZones!$A$1:$C$28,2,FALSE))/24</f>
        <v>46309.426025842135</v>
      </c>
      <c r="F8" s="4">
        <f>46309.2203491435 + (VLOOKUP($B$1,TimeZones!$A$1:$C$28,2,FALSE))/24</f>
        <v>46309.428682476835</v>
      </c>
      <c r="G8" s="2" t="s">
        <v>135</v>
      </c>
    </row>
    <row r="9" spans="1:8" ht="15" x14ac:dyDescent="0.25">
      <c r="A9" s="2" t="s">
        <v>14</v>
      </c>
      <c r="B9" s="2" t="s">
        <v>103</v>
      </c>
      <c r="C9" s="3">
        <v>0</v>
      </c>
      <c r="D9" s="3">
        <v>56</v>
      </c>
      <c r="E9" s="4">
        <f>46309.2084557939 + (VLOOKUP($B$1,TimeZones!$A$1:$C$28,2,FALSE))/24</f>
        <v>46309.416789127237</v>
      </c>
      <c r="F9" s="4">
        <f>46309.2206758899 + (VLOOKUP($B$1,TimeZones!$A$1:$C$28,2,FALSE))/24</f>
        <v>46309.429009223233</v>
      </c>
      <c r="G9" s="2" t="s">
        <v>135</v>
      </c>
    </row>
    <row r="10" spans="1:8" ht="15" x14ac:dyDescent="0.25">
      <c r="A10" s="2" t="s">
        <v>12</v>
      </c>
      <c r="B10" s="2" t="s">
        <v>140</v>
      </c>
      <c r="C10" s="3">
        <v>0</v>
      </c>
      <c r="D10" s="3">
        <v>56</v>
      </c>
      <c r="E10" s="4">
        <f>46309.2058599591 + (VLOOKUP($B$1,TimeZones!$A$1:$C$28,2,FALSE))/24</f>
        <v>46309.414193292432</v>
      </c>
      <c r="F10" s="4">
        <f>46309.2141195608 + (VLOOKUP($B$1,TimeZones!$A$1:$C$28,2,FALSE))/24</f>
        <v>46309.422452894134</v>
      </c>
      <c r="G10" s="2" t="s">
        <v>135</v>
      </c>
    </row>
    <row r="11" spans="1:8" ht="15" x14ac:dyDescent="0.25">
      <c r="A11" s="2" t="s">
        <v>17</v>
      </c>
      <c r="B11" s="2" t="s">
        <v>120</v>
      </c>
      <c r="C11" s="3">
        <v>0</v>
      </c>
      <c r="D11" s="3">
        <v>56</v>
      </c>
      <c r="E11" s="4">
        <f>46309.2072855508 + (VLOOKUP($B$1,TimeZones!$A$1:$C$28,2,FALSE))/24</f>
        <v>46309.415618884137</v>
      </c>
      <c r="F11" s="4">
        <f>46309.2141178841 + (VLOOKUP($B$1,TimeZones!$A$1:$C$28,2,FALSE))/24</f>
        <v>46309.422451217433</v>
      </c>
      <c r="G11" s="2" t="s">
        <v>135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G9" sqref="G9"/>
    </sheetView>
  </sheetViews>
  <sheetFormatPr defaultRowHeight="15.7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ht="15" x14ac:dyDescent="0.25">
      <c r="A1" s="1" t="s">
        <v>128</v>
      </c>
      <c r="B1" s="2" t="s">
        <v>62</v>
      </c>
    </row>
    <row r="3" spans="1:8" ht="30" x14ac:dyDescent="0.25">
      <c r="A3" s="1" t="s">
        <v>76</v>
      </c>
      <c r="B3" s="1" t="s">
        <v>125</v>
      </c>
      <c r="C3" s="1" t="s">
        <v>94</v>
      </c>
      <c r="D3" s="1" t="s">
        <v>89</v>
      </c>
      <c r="E3" s="1" t="str">
        <f>"Время начала сессии (" &amp; VLOOKUP($B$1,TimeZones!$A$1:$C$28,3,FALSE) &amp; ")"</f>
        <v>Время начала сессии (Екатеринбург)</v>
      </c>
      <c r="F3" s="1" t="str">
        <f>"Время конца сессии (" &amp; VLOOKUP($B$1,TimeZones!$A$1:$C$28,3,FALSE) &amp; ")"</f>
        <v>Время конца сессии (Екатеринбург)</v>
      </c>
      <c r="G3" s="1" t="s">
        <v>117</v>
      </c>
      <c r="H3" s="1" t="s">
        <v>60</v>
      </c>
    </row>
    <row r="4" spans="1:8" ht="15" x14ac:dyDescent="0.25">
      <c r="A4" s="2" t="s">
        <v>25</v>
      </c>
      <c r="B4" s="2" t="s">
        <v>58</v>
      </c>
      <c r="C4" s="3">
        <v>12</v>
      </c>
      <c r="D4" s="3">
        <v>56</v>
      </c>
      <c r="E4" s="4">
        <f>46311.1402521608 + (VLOOKUP($B$1,TimeZones!$A$1:$C$28,2,FALSE))/24</f>
        <v>46311.348585494139</v>
      </c>
      <c r="F4" s="4">
        <f>46311.1801135784 + (VLOOKUP($B$1,TimeZones!$A$1:$C$28,2,FALSE))/24</f>
        <v>46311.388446911733</v>
      </c>
      <c r="G4" s="2" t="s">
        <v>135</v>
      </c>
    </row>
    <row r="5" spans="1:8" ht="15" x14ac:dyDescent="0.25">
      <c r="A5" s="2" t="s">
        <v>22</v>
      </c>
      <c r="B5" s="2" t="s">
        <v>59</v>
      </c>
      <c r="C5" s="3">
        <v>9</v>
      </c>
      <c r="D5" s="3">
        <v>56</v>
      </c>
      <c r="E5" s="4">
        <f>46311.1407214107 + (VLOOKUP($B$1,TimeZones!$A$1:$C$28,2,FALSE))/24</f>
        <v>46311.349054744038</v>
      </c>
      <c r="F5" s="4">
        <f>46311.1693597042 + (VLOOKUP($B$1,TimeZones!$A$1:$C$28,2,FALSE))/24</f>
        <v>46311.377693037539</v>
      </c>
      <c r="G5" s="2" t="s">
        <v>135</v>
      </c>
    </row>
    <row r="6" spans="1:8" ht="15" x14ac:dyDescent="0.25">
      <c r="A6" s="2" t="s">
        <v>21</v>
      </c>
      <c r="B6" s="2" t="s">
        <v>57</v>
      </c>
      <c r="C6" s="3">
        <v>8</v>
      </c>
      <c r="D6" s="3">
        <v>56</v>
      </c>
      <c r="E6" s="4">
        <f>46311.1402550826 + (VLOOKUP($B$1,TimeZones!$A$1:$C$28,2,FALSE))/24</f>
        <v>46311.348588415938</v>
      </c>
      <c r="F6" s="4">
        <f>46311.1696384616 + (VLOOKUP($B$1,TimeZones!$A$1:$C$28,2,FALSE))/24</f>
        <v>46311.377971794936</v>
      </c>
      <c r="G6" s="2" t="s">
        <v>135</v>
      </c>
    </row>
    <row r="7" spans="1:8" ht="15" x14ac:dyDescent="0.25">
      <c r="A7" s="2" t="s">
        <v>23</v>
      </c>
      <c r="B7" s="2" t="s">
        <v>49</v>
      </c>
      <c r="C7" s="3">
        <v>7</v>
      </c>
      <c r="D7" s="3">
        <v>56</v>
      </c>
      <c r="E7" s="4">
        <f>46311.141352516 + (VLOOKUP($B$1,TimeZones!$A$1:$C$28,2,FALSE))/24</f>
        <v>46311.349685849338</v>
      </c>
      <c r="F7" s="4">
        <f>46311.1875228077 + (VLOOKUP($B$1,TimeZones!$A$1:$C$28,2,FALSE))/24</f>
        <v>46311.395856141033</v>
      </c>
      <c r="G7" s="2" t="s">
        <v>135</v>
      </c>
    </row>
    <row r="8" spans="1:8" ht="15" x14ac:dyDescent="0.25">
      <c r="A8" s="2" t="s">
        <v>24</v>
      </c>
      <c r="B8" s="2" t="s">
        <v>50</v>
      </c>
      <c r="C8" s="3">
        <v>1</v>
      </c>
      <c r="D8" s="3">
        <v>56</v>
      </c>
      <c r="E8" s="4">
        <f>46311.140864975 + (VLOOKUP($B$1,TimeZones!$A$1:$C$28,2,FALSE))/24</f>
        <v>46311.349198308337</v>
      </c>
      <c r="F8" s="4">
        <f>46311.1716793103 + (VLOOKUP($B$1,TimeZones!$A$1:$C$28,2,FALSE))/24</f>
        <v>46311.380012643633</v>
      </c>
      <c r="G8" s="2" t="s">
        <v>135</v>
      </c>
    </row>
    <row r="9" spans="1:8" ht="15" x14ac:dyDescent="0.25">
      <c r="A9" s="2" t="s">
        <v>20</v>
      </c>
      <c r="B9" s="2" t="s">
        <v>101</v>
      </c>
      <c r="C9" s="3">
        <v>0</v>
      </c>
      <c r="D9" s="3">
        <v>56</v>
      </c>
      <c r="E9" s="4">
        <f>46311.1404973039 + (VLOOKUP($B$1,TimeZones!$A$1:$C$28,2,FALSE))/24</f>
        <v>46311.348830637238</v>
      </c>
      <c r="F9" s="4">
        <f>46311.1623102058 + (VLOOKUP($B$1,TimeZones!$A$1:$C$28,2,FALSE))/24</f>
        <v>46311.370643539136</v>
      </c>
      <c r="G9" s="2" t="s">
        <v>135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G12" sqref="G12"/>
    </sheetView>
  </sheetViews>
  <sheetFormatPr defaultRowHeight="15.7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ht="15" x14ac:dyDescent="0.25">
      <c r="A1" s="1" t="s">
        <v>128</v>
      </c>
      <c r="B1" s="2" t="s">
        <v>62</v>
      </c>
    </row>
    <row r="3" spans="1:8" ht="30" x14ac:dyDescent="0.25">
      <c r="A3" s="1" t="s">
        <v>76</v>
      </c>
      <c r="B3" s="1" t="s">
        <v>125</v>
      </c>
      <c r="C3" s="1" t="s">
        <v>94</v>
      </c>
      <c r="D3" s="1" t="s">
        <v>89</v>
      </c>
      <c r="E3" s="1" t="str">
        <f>"Время начала сессии (" &amp; VLOOKUP($B$1,TimeZones!$A$1:$C$28,3,FALSE) &amp; ")"</f>
        <v>Время начала сессии (Екатеринбург)</v>
      </c>
      <c r="F3" s="1" t="str">
        <f>"Время конца сессии (" &amp; VLOOKUP($B$1,TimeZones!$A$1:$C$28,3,FALSE) &amp; ")"</f>
        <v>Время конца сессии (Екатеринбург)</v>
      </c>
      <c r="G3" s="1" t="s">
        <v>117</v>
      </c>
      <c r="H3" s="1" t="s">
        <v>60</v>
      </c>
    </row>
    <row r="4" spans="1:8" ht="15" x14ac:dyDescent="0.25">
      <c r="A4" s="2" t="s">
        <v>32</v>
      </c>
      <c r="B4" s="2" t="s">
        <v>65</v>
      </c>
      <c r="C4" s="3">
        <v>14</v>
      </c>
      <c r="D4" s="3">
        <v>56</v>
      </c>
      <c r="E4" s="4">
        <f>46311.2066032015 + (VLOOKUP($B$1,TimeZones!$A$1:$C$28,2,FALSE))/24</f>
        <v>46311.414936534835</v>
      </c>
      <c r="F4" s="4">
        <f>46311.2300787491 + (VLOOKUP($B$1,TimeZones!$A$1:$C$28,2,FALSE))/24</f>
        <v>46311.438412082432</v>
      </c>
      <c r="G4" s="2" t="s">
        <v>135</v>
      </c>
    </row>
    <row r="5" spans="1:8" ht="15" x14ac:dyDescent="0.25">
      <c r="A5" s="2" t="s">
        <v>27</v>
      </c>
      <c r="B5" s="2" t="s">
        <v>131</v>
      </c>
      <c r="C5" s="3">
        <v>14</v>
      </c>
      <c r="D5" s="3">
        <v>56</v>
      </c>
      <c r="E5" s="4">
        <f>46311.1737297038 + (VLOOKUP($B$1,TimeZones!$A$1:$C$28,2,FALSE))/24</f>
        <v>46311.382063037134</v>
      </c>
      <c r="F5" s="4">
        <f>46311.1931749057 + (VLOOKUP($B$1,TimeZones!$A$1:$C$28,2,FALSE))/24</f>
        <v>46311.401508239032</v>
      </c>
      <c r="G5" s="2" t="s">
        <v>135</v>
      </c>
    </row>
    <row r="6" spans="1:8" ht="15" x14ac:dyDescent="0.25">
      <c r="A6" s="2" t="s">
        <v>30</v>
      </c>
      <c r="B6" s="2" t="s">
        <v>52</v>
      </c>
      <c r="C6" s="3">
        <v>13</v>
      </c>
      <c r="D6" s="3">
        <v>56</v>
      </c>
      <c r="E6" s="4">
        <f>46311.1751076066 + (VLOOKUP($B$1,TimeZones!$A$1:$C$28,2,FALSE))/24</f>
        <v>46311.383440939935</v>
      </c>
      <c r="F6" s="4">
        <f>46311.1930286898 + (VLOOKUP($B$1,TimeZones!$A$1:$C$28,2,FALSE))/24</f>
        <v>46311.401362023134</v>
      </c>
      <c r="G6" s="2" t="s">
        <v>135</v>
      </c>
    </row>
    <row r="7" spans="1:8" ht="15" x14ac:dyDescent="0.25">
      <c r="A7" s="2" t="s">
        <v>26</v>
      </c>
      <c r="B7" s="2" t="s">
        <v>83</v>
      </c>
      <c r="C7" s="3">
        <v>11</v>
      </c>
      <c r="D7" s="3">
        <v>56</v>
      </c>
      <c r="E7" s="4">
        <f>46311.2066465331 + (VLOOKUP($B$1,TimeZones!$A$1:$C$28,2,FALSE))/24</f>
        <v>46311.414979866437</v>
      </c>
      <c r="F7" s="4">
        <f>46311.2303960496 + (VLOOKUP($B$1,TimeZones!$A$1:$C$28,2,FALSE))/24</f>
        <v>46311.438729382935</v>
      </c>
      <c r="G7" s="2" t="s">
        <v>135</v>
      </c>
    </row>
    <row r="8" spans="1:8" ht="15" x14ac:dyDescent="0.25">
      <c r="A8" s="2" t="s">
        <v>34</v>
      </c>
      <c r="B8" s="2" t="s">
        <v>46</v>
      </c>
      <c r="C8" s="3">
        <v>10</v>
      </c>
      <c r="D8" s="3">
        <v>56</v>
      </c>
      <c r="E8" s="4">
        <f>46311.1751913947 + (VLOOKUP($B$1,TimeZones!$A$1:$C$28,2,FALSE))/24</f>
        <v>46311.383524728037</v>
      </c>
      <c r="F8" s="4">
        <f>46311.1997160292 + (VLOOKUP($B$1,TimeZones!$A$1:$C$28,2,FALSE))/24</f>
        <v>46311.408049362537</v>
      </c>
      <c r="G8" s="2" t="s">
        <v>135</v>
      </c>
    </row>
    <row r="9" spans="1:8" ht="15" x14ac:dyDescent="0.25">
      <c r="A9" s="2" t="s">
        <v>29</v>
      </c>
      <c r="B9" s="2" t="s">
        <v>41</v>
      </c>
      <c r="C9" s="3">
        <v>8</v>
      </c>
      <c r="D9" s="3">
        <v>56</v>
      </c>
      <c r="E9" s="4">
        <f>46311.1764136888 + (VLOOKUP($B$1,TimeZones!$A$1:$C$28,2,FALSE))/24</f>
        <v>46311.384747022137</v>
      </c>
      <c r="F9" s="4">
        <f>46311.1922231828 + (VLOOKUP($B$1,TimeZones!$A$1:$C$28,2,FALSE))/24</f>
        <v>46311.400556516135</v>
      </c>
      <c r="G9" s="2" t="s">
        <v>135</v>
      </c>
    </row>
    <row r="10" spans="1:8" ht="15" x14ac:dyDescent="0.25">
      <c r="A10" s="2" t="s">
        <v>31</v>
      </c>
      <c r="B10" s="2" t="s">
        <v>86</v>
      </c>
      <c r="C10" s="3">
        <v>3</v>
      </c>
      <c r="D10" s="3">
        <v>56</v>
      </c>
      <c r="E10" s="4">
        <f>46311.1752154777 + (VLOOKUP($B$1,TimeZones!$A$1:$C$28,2,FALSE))/24</f>
        <v>46311.383548811034</v>
      </c>
      <c r="F10" s="4">
        <f>46311.1930894023 + (VLOOKUP($B$1,TimeZones!$A$1:$C$28,2,FALSE))/24</f>
        <v>46311.401422735638</v>
      </c>
      <c r="G10" s="2" t="s">
        <v>135</v>
      </c>
    </row>
    <row r="11" spans="1:8" ht="15" x14ac:dyDescent="0.25">
      <c r="A11" s="2" t="s">
        <v>33</v>
      </c>
      <c r="B11" s="2" t="s">
        <v>90</v>
      </c>
      <c r="C11" s="3">
        <v>3</v>
      </c>
      <c r="D11" s="3">
        <v>56</v>
      </c>
      <c r="E11" s="4">
        <f>46311.1767344522 + (VLOOKUP($B$1,TimeZones!$A$1:$C$28,2,FALSE))/24</f>
        <v>46311.385067785537</v>
      </c>
      <c r="F11" s="4">
        <f>46311.2075190493 + (VLOOKUP($B$1,TimeZones!$A$1:$C$28,2,FALSE))/24</f>
        <v>46311.415852382634</v>
      </c>
      <c r="G11" s="2" t="s">
        <v>135</v>
      </c>
    </row>
    <row r="12" spans="1:8" ht="15" x14ac:dyDescent="0.25">
      <c r="A12" s="2" t="s">
        <v>28</v>
      </c>
      <c r="B12" s="2" t="s">
        <v>93</v>
      </c>
      <c r="C12" s="3">
        <v>1</v>
      </c>
      <c r="D12" s="3">
        <v>56</v>
      </c>
      <c r="E12" s="4">
        <f>46311.205357425 + (VLOOKUP($B$1,TimeZones!$A$1:$C$28,2,FALSE))/24</f>
        <v>46311.413690758338</v>
      </c>
      <c r="F12" s="4">
        <f>46311.2254955554 + (VLOOKUP($B$1,TimeZones!$A$1:$C$28,2,FALSE))/24</f>
        <v>46311.433828888737</v>
      </c>
      <c r="G12" s="2" t="s">
        <v>135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7" sqref="B7"/>
    </sheetView>
  </sheetViews>
  <sheetFormatPr defaultRowHeight="15.7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ht="15" x14ac:dyDescent="0.25">
      <c r="A1" s="1" t="s">
        <v>128</v>
      </c>
      <c r="B1" s="2" t="s">
        <v>62</v>
      </c>
    </row>
    <row r="3" spans="1:8" ht="30" x14ac:dyDescent="0.25">
      <c r="A3" s="1" t="s">
        <v>76</v>
      </c>
      <c r="B3" s="1" t="s">
        <v>125</v>
      </c>
      <c r="C3" s="1" t="s">
        <v>94</v>
      </c>
      <c r="D3" s="1" t="s">
        <v>89</v>
      </c>
      <c r="E3" s="1" t="str">
        <f>"Время начала сессии (" &amp; VLOOKUP($B$1,TimeZones!$A$1:$C$28,3,FALSE) &amp; ")"</f>
        <v>Время начала сессии (Екатеринбург)</v>
      </c>
      <c r="F3" s="1" t="str">
        <f>"Время конца сессии (" &amp; VLOOKUP($B$1,TimeZones!$A$1:$C$28,3,FALSE) &amp; ")"</f>
        <v>Время конца сессии (Екатеринбург)</v>
      </c>
      <c r="G3" s="1" t="s">
        <v>117</v>
      </c>
      <c r="H3" s="1" t="s">
        <v>60</v>
      </c>
    </row>
    <row r="4" spans="1:8" ht="15" x14ac:dyDescent="0.25">
      <c r="A4" s="2" t="s">
        <v>37</v>
      </c>
      <c r="B4" s="2" t="s">
        <v>84</v>
      </c>
      <c r="C4" s="3">
        <v>35</v>
      </c>
      <c r="D4" s="3">
        <v>56</v>
      </c>
      <c r="E4" s="4">
        <f>46311.139016829 + (VLOOKUP($B$1,TimeZones!$A$1:$C$28,2,FALSE))/24</f>
        <v>46311.347350162338</v>
      </c>
      <c r="F4" s="4">
        <f>46311.1572625676 + (VLOOKUP($B$1,TimeZones!$A$1:$C$28,2,FALSE))/24</f>
        <v>46311.365595900934</v>
      </c>
      <c r="G4" s="2" t="s">
        <v>136</v>
      </c>
    </row>
    <row r="5" spans="1:8" ht="15" x14ac:dyDescent="0.25">
      <c r="A5" s="2" t="s">
        <v>35</v>
      </c>
      <c r="B5" s="2" t="s">
        <v>63</v>
      </c>
      <c r="C5" s="3">
        <v>24</v>
      </c>
      <c r="D5" s="3">
        <v>56</v>
      </c>
      <c r="E5" s="4">
        <f>46311.1607807175 + (VLOOKUP($B$1,TimeZones!$A$1:$C$28,2,FALSE))/24</f>
        <v>46311.369114050838</v>
      </c>
      <c r="F5" s="4">
        <f>46311.1731933701 + (VLOOKUP($B$1,TimeZones!$A$1:$C$28,2,FALSE))/24</f>
        <v>46311.381526703437</v>
      </c>
      <c r="G5" s="2" t="s">
        <v>135</v>
      </c>
    </row>
    <row r="6" spans="1:8" ht="15" x14ac:dyDescent="0.25">
      <c r="A6" s="2" t="s">
        <v>38</v>
      </c>
      <c r="B6" s="2" t="s">
        <v>137</v>
      </c>
      <c r="C6" s="3">
        <v>18</v>
      </c>
      <c r="D6" s="3">
        <v>56</v>
      </c>
      <c r="E6" s="4">
        <f>46311.212843785 + (VLOOKUP($B$1,TimeZones!$A$1:$C$28,2,FALSE))/24</f>
        <v>46311.421177118333</v>
      </c>
      <c r="F6" s="4">
        <f>46311.2304140715 + (VLOOKUP($B$1,TimeZones!$A$1:$C$28,2,FALSE))/24</f>
        <v>46311.438747404834</v>
      </c>
      <c r="G6" s="2" t="s">
        <v>135</v>
      </c>
    </row>
    <row r="7" spans="1:8" ht="15" x14ac:dyDescent="0.25">
      <c r="A7" s="2" t="s">
        <v>36</v>
      </c>
      <c r="B7" s="2" t="s">
        <v>138</v>
      </c>
      <c r="C7" s="3">
        <v>7</v>
      </c>
      <c r="D7" s="3">
        <v>56</v>
      </c>
      <c r="E7" s="4">
        <f>46311.1386060334 + (VLOOKUP($B$1,TimeZones!$A$1:$C$28,2,FALSE))/24</f>
        <v>46311.346939366733</v>
      </c>
      <c r="F7" s="4">
        <f>46311.1735826679 + (VLOOKUP($B$1,TimeZones!$A$1:$C$28,2,FALSE))/24</f>
        <v>46311.381916001235</v>
      </c>
      <c r="G7" s="2" t="s">
        <v>135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>
    <row r="1" spans="1:1" ht="15" x14ac:dyDescent="0.25">
      <c r="A1" s="5" t="s">
        <v>114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>
    <row r="1" spans="1:1" ht="15" x14ac:dyDescent="0.25">
      <c r="A1" s="5" t="s">
        <v>114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defaultRowHeight="15.75" x14ac:dyDescent="0.25"/>
  <cols>
    <col min="1" max="1" width="139.140625" customWidth="1"/>
    <col min="2" max="2" width="34.85546875" customWidth="1"/>
    <col min="3" max="3" width="92.85546875" customWidth="1"/>
  </cols>
  <sheetData>
    <row r="1" spans="1:3" ht="15" x14ac:dyDescent="0.25">
      <c r="A1" s="2" t="s">
        <v>40</v>
      </c>
      <c r="B1" s="2">
        <v>0</v>
      </c>
      <c r="C1" s="2" t="s">
        <v>39</v>
      </c>
    </row>
    <row r="2" spans="1:3" ht="15" x14ac:dyDescent="0.25">
      <c r="A2" s="2" t="s">
        <v>71</v>
      </c>
      <c r="B2" s="2">
        <v>2</v>
      </c>
      <c r="C2" s="2" t="s">
        <v>70</v>
      </c>
    </row>
    <row r="3" spans="1:3" ht="15" x14ac:dyDescent="0.25">
      <c r="A3" s="2" t="s">
        <v>92</v>
      </c>
      <c r="B3" s="2">
        <v>3</v>
      </c>
      <c r="C3" s="2" t="s">
        <v>91</v>
      </c>
    </row>
    <row r="4" spans="1:3" ht="15" x14ac:dyDescent="0.25">
      <c r="A4" s="2" t="s">
        <v>113</v>
      </c>
      <c r="B4" s="2">
        <v>3</v>
      </c>
      <c r="C4" s="2" t="s">
        <v>112</v>
      </c>
    </row>
    <row r="5" spans="1:3" ht="15" x14ac:dyDescent="0.25">
      <c r="A5" s="2" t="s">
        <v>75</v>
      </c>
      <c r="B5" s="2">
        <v>3</v>
      </c>
      <c r="C5" s="2" t="s">
        <v>74</v>
      </c>
    </row>
    <row r="6" spans="1:3" ht="15" x14ac:dyDescent="0.25">
      <c r="A6" s="2" t="s">
        <v>56</v>
      </c>
      <c r="B6" s="2">
        <v>3</v>
      </c>
      <c r="C6" s="2" t="s">
        <v>55</v>
      </c>
    </row>
    <row r="7" spans="1:3" ht="15" x14ac:dyDescent="0.25">
      <c r="A7" s="2" t="s">
        <v>45</v>
      </c>
      <c r="B7" s="2">
        <v>4</v>
      </c>
      <c r="C7" s="2" t="s">
        <v>44</v>
      </c>
    </row>
    <row r="8" spans="1:3" ht="15" x14ac:dyDescent="0.25">
      <c r="A8" s="2" t="s">
        <v>109</v>
      </c>
      <c r="B8" s="2">
        <v>4</v>
      </c>
      <c r="C8" s="2" t="s">
        <v>108</v>
      </c>
    </row>
    <row r="9" spans="1:3" ht="15" x14ac:dyDescent="0.25">
      <c r="A9" s="2" t="s">
        <v>122</v>
      </c>
      <c r="B9" s="2">
        <v>4</v>
      </c>
      <c r="C9" s="2" t="s">
        <v>121</v>
      </c>
    </row>
    <row r="10" spans="1:3" ht="15" x14ac:dyDescent="0.25">
      <c r="A10" s="2" t="s">
        <v>107</v>
      </c>
      <c r="B10" s="2">
        <v>4</v>
      </c>
      <c r="C10" s="2" t="s">
        <v>106</v>
      </c>
    </row>
    <row r="11" spans="1:3" ht="15" x14ac:dyDescent="0.25">
      <c r="A11" s="2" t="s">
        <v>62</v>
      </c>
      <c r="B11" s="2">
        <v>5</v>
      </c>
      <c r="C11" s="2" t="s">
        <v>61</v>
      </c>
    </row>
    <row r="12" spans="1:3" ht="15" x14ac:dyDescent="0.25">
      <c r="A12" s="2" t="s">
        <v>100</v>
      </c>
      <c r="B12" s="2">
        <v>6</v>
      </c>
      <c r="C12" s="2" t="s">
        <v>99</v>
      </c>
    </row>
    <row r="13" spans="1:3" ht="15" x14ac:dyDescent="0.25">
      <c r="A13" s="2" t="s">
        <v>98</v>
      </c>
      <c r="B13" s="2">
        <v>7</v>
      </c>
      <c r="C13" s="2" t="s">
        <v>97</v>
      </c>
    </row>
    <row r="14" spans="1:3" ht="15" x14ac:dyDescent="0.25">
      <c r="A14" s="2" t="s">
        <v>48</v>
      </c>
      <c r="B14" s="2">
        <v>7</v>
      </c>
      <c r="C14" s="2" t="s">
        <v>47</v>
      </c>
    </row>
    <row r="15" spans="1:3" ht="15" x14ac:dyDescent="0.25">
      <c r="A15" s="2" t="s">
        <v>119</v>
      </c>
      <c r="B15" s="2">
        <v>7</v>
      </c>
      <c r="C15" s="2" t="s">
        <v>118</v>
      </c>
    </row>
    <row r="16" spans="1:3" ht="15" x14ac:dyDescent="0.25">
      <c r="A16" s="2" t="s">
        <v>96</v>
      </c>
      <c r="B16" s="2">
        <v>7</v>
      </c>
      <c r="C16" s="2" t="s">
        <v>95</v>
      </c>
    </row>
    <row r="17" spans="1:3" ht="15" x14ac:dyDescent="0.25">
      <c r="A17" s="2" t="s">
        <v>79</v>
      </c>
      <c r="B17" s="2">
        <v>7</v>
      </c>
      <c r="C17" s="2" t="s">
        <v>78</v>
      </c>
    </row>
    <row r="18" spans="1:3" ht="15" x14ac:dyDescent="0.25">
      <c r="A18" s="2" t="s">
        <v>69</v>
      </c>
      <c r="B18" s="2">
        <v>8</v>
      </c>
      <c r="C18" s="2" t="s">
        <v>68</v>
      </c>
    </row>
    <row r="19" spans="1:3" ht="15" x14ac:dyDescent="0.25">
      <c r="A19" s="2" t="s">
        <v>130</v>
      </c>
      <c r="B19" s="2">
        <v>9</v>
      </c>
      <c r="C19" s="2" t="s">
        <v>129</v>
      </c>
    </row>
    <row r="20" spans="1:3" ht="15" x14ac:dyDescent="0.25">
      <c r="A20" s="2" t="s">
        <v>134</v>
      </c>
      <c r="B20" s="2">
        <v>9</v>
      </c>
      <c r="C20" s="2" t="s">
        <v>133</v>
      </c>
    </row>
    <row r="21" spans="1:3" ht="15" x14ac:dyDescent="0.25">
      <c r="A21" s="2" t="s">
        <v>127</v>
      </c>
      <c r="B21" s="2">
        <v>9</v>
      </c>
      <c r="C21" s="2" t="s">
        <v>126</v>
      </c>
    </row>
    <row r="22" spans="1:3" ht="15" x14ac:dyDescent="0.25">
      <c r="A22" s="2" t="s">
        <v>54</v>
      </c>
      <c r="B22" s="2">
        <v>10</v>
      </c>
      <c r="C22" s="2" t="s">
        <v>53</v>
      </c>
    </row>
    <row r="23" spans="1:3" ht="15" x14ac:dyDescent="0.25">
      <c r="A23" s="2" t="s">
        <v>124</v>
      </c>
      <c r="B23" s="2">
        <v>10</v>
      </c>
      <c r="C23" s="2" t="s">
        <v>123</v>
      </c>
    </row>
    <row r="24" spans="1:3" ht="15" x14ac:dyDescent="0.25">
      <c r="A24" s="2" t="s">
        <v>88</v>
      </c>
      <c r="B24" s="2">
        <v>11</v>
      </c>
      <c r="C24" s="2" t="s">
        <v>87</v>
      </c>
    </row>
    <row r="25" spans="1:3" ht="15" x14ac:dyDescent="0.25">
      <c r="A25" s="2" t="s">
        <v>111</v>
      </c>
      <c r="B25" s="2">
        <v>11</v>
      </c>
      <c r="C25" s="2" t="s">
        <v>110</v>
      </c>
    </row>
    <row r="26" spans="1:3" ht="15" x14ac:dyDescent="0.25">
      <c r="A26" s="2" t="s">
        <v>116</v>
      </c>
      <c r="B26" s="2">
        <v>11</v>
      </c>
      <c r="C26" s="2" t="s">
        <v>115</v>
      </c>
    </row>
    <row r="27" spans="1:3" ht="15" x14ac:dyDescent="0.25">
      <c r="A27" s="2" t="s">
        <v>73</v>
      </c>
      <c r="B27" s="2">
        <v>12</v>
      </c>
      <c r="C27" s="2" t="s">
        <v>72</v>
      </c>
    </row>
    <row r="28" spans="1:3" ht="15" x14ac:dyDescent="0.25">
      <c r="A28" s="2" t="s">
        <v>43</v>
      </c>
      <c r="B28" s="2">
        <v>12</v>
      </c>
      <c r="C28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19742 Математика 4 класс</vt:lpstr>
      <vt:lpstr>19743 Математика 5 класс</vt:lpstr>
      <vt:lpstr>19744 Математика 6 класс</vt:lpstr>
      <vt:lpstr>19745 Математика 7 класс</vt:lpstr>
      <vt:lpstr>19746 Математика 8 класс</vt:lpstr>
      <vt:lpstr>19747 Математика 9 класс</vt:lpstr>
      <vt:lpstr>19748 Математика 10 класс</vt:lpstr>
      <vt:lpstr>19749 Математика 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2026-10-29T03:28:13Z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2026-10-29T03:17:54.029555168Z</dcterms:created>
  <dc:creator>xlsxwriter</dc:creator>
  <cp:lastModifiedBy>xlsxwriter</cp:lastModifiedBy>
</cp:coreProperties>
</file>